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CUMENTOS\mbouzon\Monica\ADMINISTRACIÓN PRESUPUESTAL\TABLA SUELDOS Y TOPES\"/>
    </mc:Choice>
  </mc:AlternateContent>
  <xr:revisionPtr revIDLastSave="0" documentId="13_ncr:1_{B4E967B5-3C10-4D9E-9E74-334AF584FF02}" xr6:coauthVersionLast="36" xr6:coauthVersionMax="36" xr10:uidLastSave="{00000000-0000-0000-0000-000000000000}"/>
  <bookViews>
    <workbookView xWindow="-120" yWindow="-120" windowWidth="24240" windowHeight="9345" xr2:uid="{00000000-000D-0000-FFFF-FFFF00000000}"/>
  </bookViews>
  <sheets>
    <sheet name="2022" sheetId="12" r:id="rId1"/>
  </sheets>
  <calcPr calcId="191029"/>
</workbook>
</file>

<file path=xl/calcChain.xml><?xml version="1.0" encoding="utf-8"?>
<calcChain xmlns="http://schemas.openxmlformats.org/spreadsheetml/2006/main">
  <c r="E27" i="12" l="1"/>
  <c r="E16" i="12"/>
  <c r="D28" i="12"/>
  <c r="D18" i="12"/>
  <c r="B88" i="12" l="1"/>
  <c r="B87" i="12"/>
  <c r="B86" i="12"/>
  <c r="B85" i="12"/>
  <c r="B84" i="12"/>
  <c r="B83" i="12"/>
  <c r="D73" i="12"/>
  <c r="D49" i="12"/>
  <c r="D48" i="12"/>
  <c r="D47" i="12"/>
  <c r="D46" i="12"/>
  <c r="E37" i="12"/>
  <c r="D31" i="12"/>
  <c r="D30" i="12"/>
  <c r="D29" i="12"/>
  <c r="D27" i="12"/>
  <c r="D26" i="12"/>
  <c r="D25" i="12"/>
  <c r="D24" i="12"/>
  <c r="D23" i="12"/>
  <c r="D22" i="12"/>
  <c r="D21" i="12"/>
  <c r="D20" i="12"/>
  <c r="D19" i="12"/>
  <c r="D17" i="12"/>
  <c r="D16" i="12"/>
  <c r="C31" i="12"/>
  <c r="C30" i="12"/>
  <c r="C29" i="12"/>
  <c r="E29" i="12" s="1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B31" i="12"/>
  <c r="B30" i="12"/>
  <c r="B29" i="12"/>
  <c r="B28" i="12"/>
  <c r="B27" i="12"/>
  <c r="B26" i="12"/>
  <c r="B25" i="12"/>
  <c r="B24" i="12"/>
  <c r="B23" i="12"/>
  <c r="B22" i="12"/>
  <c r="B21" i="12"/>
  <c r="B20" i="12"/>
  <c r="B19" i="12"/>
  <c r="E19" i="12" s="1"/>
  <c r="B18" i="12"/>
  <c r="B17" i="12"/>
  <c r="E17" i="12" s="1"/>
  <c r="B16" i="12"/>
  <c r="E31" i="12"/>
  <c r="E23" i="12"/>
  <c r="E25" i="12"/>
  <c r="E21" i="12" l="1"/>
  <c r="E18" i="12"/>
  <c r="E20" i="12"/>
  <c r="E22" i="12"/>
  <c r="E24" i="12"/>
  <c r="E26" i="12"/>
  <c r="E28" i="12"/>
  <c r="E30" i="12"/>
</calcChain>
</file>

<file path=xl/sharedStrings.xml><?xml version="1.0" encoding="utf-8"?>
<sst xmlns="http://schemas.openxmlformats.org/spreadsheetml/2006/main" count="79" uniqueCount="74">
  <si>
    <t>Sueldo al Grado</t>
  </si>
  <si>
    <t>Grado</t>
  </si>
  <si>
    <t>Recuperación Salarial</t>
  </si>
  <si>
    <t>Unidad Ejecutora 041 "Dirección Nacional de Aviación Civil e infraestructura Aeronáutica"</t>
  </si>
  <si>
    <t>Inciso 03 "Ministerio de Defensa Nacional"</t>
  </si>
  <si>
    <t>Escalafones A, B, C, D, E y F</t>
  </si>
  <si>
    <t>Técnico Especializado Nivel VI</t>
  </si>
  <si>
    <t>Otras Remuneraciones aprobadas en el marco de la Ley Nº 18,508 de 26 de junio de 2009</t>
  </si>
  <si>
    <t xml:space="preserve">Establece régimen de compensaciones para los Controladores de Tránsito Aéreo </t>
  </si>
  <si>
    <t>Categorias</t>
  </si>
  <si>
    <t>Grados de 8 a 13</t>
  </si>
  <si>
    <t>Grados de 3 a 7</t>
  </si>
  <si>
    <t>Grados 14 y 15</t>
  </si>
  <si>
    <t>Técnico Especializados Nivel VI</t>
  </si>
  <si>
    <t xml:space="preserve">Artículo 193, Ley Nº 18,719 de 27 de diciembre de 2010 </t>
  </si>
  <si>
    <t>Decreto Reglamentario Nº 206/2011 de 8 de junio de 2010</t>
  </si>
  <si>
    <t>Artículo 103, Ley Nº 18,834 de 4 de noviembre de 2011</t>
  </si>
  <si>
    <t>Monto Compensación: Partida fija mensual del 20% sobre remuneraciones</t>
  </si>
  <si>
    <t>Decreto Reglamentario Nº 362/013 de 11 de noviembre de 2013</t>
  </si>
  <si>
    <t>Establece régimen de corrección de inequidades en el ejercicio de la función de Controlador</t>
  </si>
  <si>
    <t>Categorías:</t>
  </si>
  <si>
    <t>Equiparación</t>
  </si>
  <si>
    <t>Habilitación</t>
  </si>
  <si>
    <t>Aeródromo</t>
  </si>
  <si>
    <t>a Grado 8</t>
  </si>
  <si>
    <t>Todos</t>
  </si>
  <si>
    <t>Aeródromos</t>
  </si>
  <si>
    <t>Hasta Grado 7</t>
  </si>
  <si>
    <t>Aeropuerto/s</t>
  </si>
  <si>
    <t>Carrasco, Laguna del Sauce y Adami</t>
  </si>
  <si>
    <t>a Grado 9</t>
  </si>
  <si>
    <t>Hasta Grado 8</t>
  </si>
  <si>
    <t>Área y/o Aproximación</t>
  </si>
  <si>
    <t>a Grado 11</t>
  </si>
  <si>
    <t>Hasta Grado 10</t>
  </si>
  <si>
    <t>Área, Aproximación y Aeródromo</t>
  </si>
  <si>
    <t>a Grado 12</t>
  </si>
  <si>
    <t>Hasta Grado 11</t>
  </si>
  <si>
    <t xml:space="preserve">Compensación fija para todos los Controladores de Tránsito Aéreo que efectivamente </t>
  </si>
  <si>
    <t>mensuales</t>
  </si>
  <si>
    <t>de Tránsito Aéreo:</t>
  </si>
  <si>
    <t>Partida Variable:</t>
  </si>
  <si>
    <t xml:space="preserve"> Complemento Partida Fija:</t>
  </si>
  <si>
    <t>Compensación $</t>
  </si>
  <si>
    <t>Remuneración Básica Total $</t>
  </si>
  <si>
    <t>Otras Partidas</t>
  </si>
  <si>
    <t>desempeñan la función:          $</t>
  </si>
  <si>
    <t>Estructura de remuneraciones por categoría escalafonaria (Ley Nº 18,381 de 17/10/2008, art. 5)</t>
  </si>
  <si>
    <t xml:space="preserve">Tabla de Remuneraciones del personal civil de la DINACIA </t>
  </si>
  <si>
    <t xml:space="preserve">Establece régimen de compensaciones por disponibilidad horaria con exclusión del personal </t>
  </si>
  <si>
    <t>Compensación   $</t>
  </si>
  <si>
    <t>comprendido en el artículo 193 de la Ley Nº 18,719 y artículo 67 de la Ley 18,996</t>
  </si>
  <si>
    <t>Compensación al cargo</t>
  </si>
  <si>
    <t>Division de Administración y Suministros</t>
  </si>
  <si>
    <t>Departamento de Recursos Humanos</t>
  </si>
  <si>
    <t>Dirección de Administración y Finanzas</t>
  </si>
  <si>
    <t xml:space="preserve">Vínculo: Presupuestados y Contratados </t>
  </si>
  <si>
    <t>Decreto Reglamentario Nº 100/2014 de 22 de abril de 2014 y modificativo</t>
  </si>
  <si>
    <t>Decreto Reglamentario Nº 188/2012 de 8 de junio de 2012 y modificativos (ingresos hasta 31/10/2016)</t>
  </si>
  <si>
    <t>Antigüedad, por cada año                                                          $</t>
  </si>
  <si>
    <t>Artículo 67, Ley 18,996 de 7 de noviembre de 2012</t>
  </si>
  <si>
    <t>Artículo 68, Ley 19,670 de 25 de octubre de 2018</t>
  </si>
  <si>
    <t>que cumplen con los requisitos que la norma prevé:</t>
  </si>
  <si>
    <t>Establece una compensación por permanencia a la orden para los Técnicos Electrónicos Aeronáuticos</t>
  </si>
  <si>
    <t>de 2017</t>
  </si>
  <si>
    <t xml:space="preserve">Artículo 68, Ley Nº 18,996 de 7 de noviembre de 2012 y artículo 45 de la Ley 19535 de 25 de setiembre </t>
  </si>
  <si>
    <t xml:space="preserve">Incremento </t>
  </si>
  <si>
    <t>Promedio Partida en Tickets de Alimentación                  $</t>
  </si>
  <si>
    <t>Promedio Partida por Locomoción                                         $</t>
  </si>
  <si>
    <t>Monto mensual: equivalente a 30 horas extras (1,5 del valor de la hora común en base a 30 horas semanales)</t>
  </si>
  <si>
    <t>Compensación especial por guardia retén o disponibilidad, que comprende a los controladores de tránsito aéreo que</t>
  </si>
  <si>
    <t>cumplen funciones en la División de Tránsito Aéreo.</t>
  </si>
  <si>
    <t>Aumento 2022: 7,0696% Decreto Nº 9/022 de 4 de enero de 2022</t>
  </si>
  <si>
    <t>Valores al 1º de enero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</si>
</sst>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left"/>
    </xf>
    <xf numFmtId="0" fontId="0" fillId="0" borderId="1" xfId="0" applyBorder="1"/>
    <xf numFmtId="0" fontId="0" fillId="0" borderId="3" xfId="0" applyBorder="1"/>
    <xf numFmtId="0" fontId="0" fillId="0" borderId="4" xfId="0" applyBorder="1" applyAlignment="1">
      <alignment wrapText="1"/>
    </xf>
    <xf numFmtId="0" fontId="0" fillId="0" borderId="5" xfId="0" applyBorder="1"/>
    <xf numFmtId="0" fontId="0" fillId="0" borderId="9" xfId="0" applyBorder="1"/>
    <xf numFmtId="0" fontId="0" fillId="0" borderId="2" xfId="0" applyBorder="1"/>
    <xf numFmtId="0" fontId="0" fillId="0" borderId="6" xfId="0" applyBorder="1"/>
    <xf numFmtId="0" fontId="0" fillId="0" borderId="7" xfId="0" applyBorder="1"/>
    <xf numFmtId="0" fontId="0" fillId="0" borderId="10" xfId="0" applyBorder="1"/>
    <xf numFmtId="0" fontId="0" fillId="0" borderId="11" xfId="0" applyBorder="1"/>
    <xf numFmtId="49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8" xfId="0" applyBorder="1" applyAlignment="1"/>
    <xf numFmtId="0" fontId="0" fillId="0" borderId="0" xfId="0" applyFont="1"/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/>
    <xf numFmtId="0" fontId="0" fillId="0" borderId="22" xfId="0" applyBorder="1" applyAlignment="1"/>
    <xf numFmtId="0" fontId="0" fillId="0" borderId="18" xfId="0" applyBorder="1" applyAlignment="1">
      <alignment wrapText="1"/>
    </xf>
    <xf numFmtId="0" fontId="0" fillId="0" borderId="0" xfId="0" applyBorder="1"/>
    <xf numFmtId="0" fontId="0" fillId="0" borderId="21" xfId="0" applyBorder="1"/>
    <xf numFmtId="0" fontId="1" fillId="0" borderId="6" xfId="0" applyFont="1" applyBorder="1" applyAlignment="1">
      <alignment horizontal="center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0" fontId="0" fillId="0" borderId="12" xfId="0" applyBorder="1"/>
    <xf numFmtId="0" fontId="0" fillId="0" borderId="15" xfId="0" applyBorder="1"/>
    <xf numFmtId="49" fontId="0" fillId="0" borderId="0" xfId="0" applyNumberFormat="1"/>
    <xf numFmtId="3" fontId="0" fillId="0" borderId="10" xfId="0" applyNumberFormat="1" applyBorder="1" applyAlignment="1">
      <alignment horizontal="center"/>
    </xf>
    <xf numFmtId="1" fontId="0" fillId="0" borderId="0" xfId="0" applyNumberFormat="1"/>
    <xf numFmtId="3" fontId="0" fillId="0" borderId="16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1" fillId="0" borderId="27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3" fontId="0" fillId="0" borderId="0" xfId="0" applyNumberFormat="1"/>
    <xf numFmtId="0" fontId="1" fillId="0" borderId="5" xfId="0" applyFont="1" applyBorder="1" applyAlignment="1">
      <alignment horizontal="right" vertical="center"/>
    </xf>
    <xf numFmtId="0" fontId="1" fillId="0" borderId="7" xfId="0" applyFont="1" applyBorder="1" applyAlignment="1">
      <alignment horizontal="center"/>
    </xf>
    <xf numFmtId="0" fontId="0" fillId="0" borderId="29" xfId="0" applyBorder="1"/>
    <xf numFmtId="0" fontId="1" fillId="0" borderId="28" xfId="0" applyFont="1" applyBorder="1" applyAlignment="1">
      <alignment horizontal="center" wrapText="1"/>
    </xf>
    <xf numFmtId="0" fontId="0" fillId="0" borderId="4" xfId="0" applyBorder="1"/>
    <xf numFmtId="0" fontId="0" fillId="0" borderId="30" xfId="0" applyBorder="1"/>
    <xf numFmtId="0" fontId="0" fillId="0" borderId="31" xfId="0" applyBorder="1"/>
    <xf numFmtId="0" fontId="1" fillId="0" borderId="7" xfId="0" applyFont="1" applyBorder="1" applyAlignment="1">
      <alignment horizontal="center" wrapText="1"/>
    </xf>
    <xf numFmtId="0" fontId="0" fillId="0" borderId="35" xfId="0" applyBorder="1"/>
    <xf numFmtId="0" fontId="0" fillId="0" borderId="23" xfId="0" applyBorder="1"/>
    <xf numFmtId="4" fontId="0" fillId="0" borderId="32" xfId="0" applyNumberFormat="1" applyBorder="1" applyAlignment="1">
      <alignment horizontal="center"/>
    </xf>
    <xf numFmtId="0" fontId="0" fillId="0" borderId="35" xfId="0" applyBorder="1" applyAlignment="1"/>
    <xf numFmtId="0" fontId="0" fillId="0" borderId="8" xfId="0" applyBorder="1" applyAlignment="1">
      <alignment wrapText="1"/>
    </xf>
    <xf numFmtId="0" fontId="0" fillId="0" borderId="22" xfId="0" applyBorder="1" applyAlignment="1">
      <alignment wrapText="1"/>
    </xf>
    <xf numFmtId="0" fontId="1" fillId="0" borderId="5" xfId="0" applyFont="1" applyBorder="1" applyAlignment="1">
      <alignment horizontal="right" wrapText="1"/>
    </xf>
    <xf numFmtId="0" fontId="1" fillId="0" borderId="6" xfId="0" applyFont="1" applyBorder="1" applyAlignment="1">
      <alignment horizontal="center" wrapText="1"/>
    </xf>
    <xf numFmtId="0" fontId="0" fillId="0" borderId="29" xfId="0" applyBorder="1" applyAlignment="1"/>
    <xf numFmtId="0" fontId="0" fillId="0" borderId="23" xfId="0" applyBorder="1" applyAlignment="1"/>
    <xf numFmtId="0" fontId="0" fillId="0" borderId="20" xfId="0" applyBorder="1" applyAlignment="1"/>
    <xf numFmtId="0" fontId="0" fillId="0" borderId="20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30" xfId="0" applyBorder="1" applyAlignment="1"/>
    <xf numFmtId="0" fontId="0" fillId="0" borderId="31" xfId="0" applyBorder="1" applyAlignment="1"/>
    <xf numFmtId="0" fontId="0" fillId="0" borderId="13" xfId="0" applyBorder="1"/>
    <xf numFmtId="0" fontId="0" fillId="0" borderId="17" xfId="0" applyBorder="1"/>
    <xf numFmtId="0" fontId="0" fillId="0" borderId="18" xfId="0" applyBorder="1"/>
    <xf numFmtId="0" fontId="1" fillId="0" borderId="5" xfId="0" applyFont="1" applyBorder="1" applyAlignment="1">
      <alignment horizontal="center" vertical="center"/>
    </xf>
    <xf numFmtId="3" fontId="0" fillId="0" borderId="4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3" fontId="0" fillId="0" borderId="34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81346-A6E5-4635-A3AB-E661EB39DA7F}">
  <dimension ref="A1:G94"/>
  <sheetViews>
    <sheetView tabSelected="1" topLeftCell="A25" workbookViewId="0">
      <selection activeCell="D48" sqref="D48"/>
    </sheetView>
  </sheetViews>
  <sheetFormatPr baseColWidth="10" defaultRowHeight="15" x14ac:dyDescent="0.25"/>
  <cols>
    <col min="2" max="2" width="16.5703125" customWidth="1"/>
    <col min="3" max="3" width="19" customWidth="1"/>
    <col min="4" max="4" width="18.140625" customWidth="1"/>
    <col min="5" max="5" width="17.140625" customWidth="1"/>
    <col min="6" max="6" width="21.28515625" customWidth="1"/>
  </cols>
  <sheetData>
    <row r="1" spans="1:7" x14ac:dyDescent="0.25">
      <c r="A1" s="1" t="s">
        <v>4</v>
      </c>
      <c r="B1" s="1"/>
      <c r="C1" s="1"/>
      <c r="D1" s="1"/>
      <c r="E1" s="1"/>
      <c r="F1" s="1"/>
    </row>
    <row r="2" spans="1:7" x14ac:dyDescent="0.25">
      <c r="A2" s="1" t="s">
        <v>3</v>
      </c>
      <c r="B2" s="1"/>
      <c r="C2" s="1"/>
      <c r="D2" s="1"/>
      <c r="E2" s="1"/>
      <c r="F2" s="1"/>
    </row>
    <row r="3" spans="1:7" x14ac:dyDescent="0.25">
      <c r="A3" s="16" t="s">
        <v>55</v>
      </c>
      <c r="B3" s="1"/>
      <c r="C3" s="1"/>
      <c r="D3" s="1"/>
      <c r="E3" s="1"/>
      <c r="F3" s="1"/>
    </row>
    <row r="4" spans="1:7" x14ac:dyDescent="0.25">
      <c r="A4" s="16" t="s">
        <v>53</v>
      </c>
      <c r="B4" s="16"/>
      <c r="C4" s="16"/>
      <c r="D4" s="16"/>
      <c r="E4" s="16"/>
      <c r="F4" s="16"/>
    </row>
    <row r="5" spans="1:7" x14ac:dyDescent="0.25">
      <c r="A5" s="16" t="s">
        <v>54</v>
      </c>
      <c r="B5" s="16"/>
      <c r="C5" s="16"/>
      <c r="D5" s="16"/>
      <c r="E5" s="16"/>
      <c r="F5" s="16"/>
    </row>
    <row r="6" spans="1:7" x14ac:dyDescent="0.25">
      <c r="A6" s="16"/>
      <c r="B6" s="16"/>
      <c r="C6" s="16"/>
      <c r="D6" s="16"/>
      <c r="E6" s="16"/>
      <c r="F6" s="16"/>
    </row>
    <row r="7" spans="1:7" x14ac:dyDescent="0.25">
      <c r="A7" s="1" t="s">
        <v>47</v>
      </c>
      <c r="B7" s="1"/>
      <c r="C7" s="1"/>
      <c r="D7" s="1"/>
      <c r="E7" s="1"/>
      <c r="F7" s="1"/>
    </row>
    <row r="9" spans="1:7" x14ac:dyDescent="0.25">
      <c r="A9" s="1" t="s">
        <v>72</v>
      </c>
      <c r="B9" s="1"/>
      <c r="C9" s="1"/>
      <c r="D9" s="1"/>
      <c r="E9" s="1"/>
      <c r="F9" s="1"/>
    </row>
    <row r="11" spans="1:7" x14ac:dyDescent="0.25">
      <c r="A11" s="77" t="s">
        <v>48</v>
      </c>
      <c r="B11" s="77"/>
      <c r="C11" s="77"/>
      <c r="D11" s="77"/>
      <c r="E11" s="77"/>
      <c r="F11" s="77"/>
    </row>
    <row r="12" spans="1:7" x14ac:dyDescent="0.25">
      <c r="A12" s="78" t="s">
        <v>5</v>
      </c>
      <c r="B12" s="78"/>
      <c r="C12" s="78"/>
      <c r="D12" s="78"/>
      <c r="E12" s="78"/>
      <c r="F12" s="78"/>
    </row>
    <row r="13" spans="1:7" x14ac:dyDescent="0.25">
      <c r="A13" s="16" t="s">
        <v>73</v>
      </c>
      <c r="B13" s="73"/>
      <c r="C13" s="73"/>
      <c r="D13" s="73"/>
      <c r="E13" s="73"/>
      <c r="F13" s="73"/>
    </row>
    <row r="14" spans="1:7" ht="15.75" thickBot="1" x14ac:dyDescent="0.3">
      <c r="A14" s="2" t="s">
        <v>56</v>
      </c>
      <c r="B14" s="73"/>
      <c r="C14" s="73"/>
      <c r="D14" s="73"/>
      <c r="E14" s="73"/>
      <c r="F14" s="73"/>
      <c r="G14" t="s">
        <v>66</v>
      </c>
    </row>
    <row r="15" spans="1:7" ht="30.75" thickBot="1" x14ac:dyDescent="0.3">
      <c r="A15" s="28" t="s">
        <v>1</v>
      </c>
      <c r="B15" s="26" t="s">
        <v>0</v>
      </c>
      <c r="C15" s="26" t="s">
        <v>52</v>
      </c>
      <c r="D15" s="26" t="s">
        <v>2</v>
      </c>
      <c r="E15" s="27" t="s">
        <v>44</v>
      </c>
      <c r="F15" s="13"/>
      <c r="G15" s="14">
        <v>1.0706960000000001</v>
      </c>
    </row>
    <row r="16" spans="1:7" x14ac:dyDescent="0.25">
      <c r="A16" s="17">
        <v>16</v>
      </c>
      <c r="B16" s="76">
        <f>29439.2413514031*$G$15</f>
        <v>31520.477957981897</v>
      </c>
      <c r="C16" s="76">
        <f>80742.5508146882*$G$15</f>
        <v>86450.726187083405</v>
      </c>
      <c r="D16" s="76">
        <f>1393.54335929158*$G$15</f>
        <v>1492.0613006200576</v>
      </c>
      <c r="E16" s="36">
        <f>SUM(B16:D16)</f>
        <v>119463.26544568536</v>
      </c>
      <c r="F16" s="41"/>
    </row>
    <row r="17" spans="1:6" x14ac:dyDescent="0.25">
      <c r="A17" s="18">
        <v>15</v>
      </c>
      <c r="B17" s="70">
        <f>26806.6093962366*G15</f>
        <v>28701.729454112945</v>
      </c>
      <c r="C17" s="70">
        <f>75151.4143681641*$G$15</f>
        <v>80464.318758335838</v>
      </c>
      <c r="D17" s="70">
        <f>1268.85788636208*$G$15</f>
        <v>1358.5610634963339</v>
      </c>
      <c r="E17" s="34">
        <f t="shared" ref="E17:E31" si="0">SUM(B17:D17)</f>
        <v>110524.60927594511</v>
      </c>
      <c r="F17" s="41"/>
    </row>
    <row r="18" spans="1:6" x14ac:dyDescent="0.25">
      <c r="A18" s="18">
        <v>14</v>
      </c>
      <c r="B18" s="70">
        <f>24463.6187134665*$G$15</f>
        <v>26193.098702033731</v>
      </c>
      <c r="C18" s="70">
        <f>69734.9207479799*$G$15</f>
        <v>74664.900705179083</v>
      </c>
      <c r="D18" s="70">
        <f>1157.96324694243*$G$15</f>
        <v>1239.8266166482722</v>
      </c>
      <c r="E18" s="34">
        <f t="shared" si="0"/>
        <v>102097.8260238611</v>
      </c>
      <c r="F18" s="41"/>
    </row>
    <row r="19" spans="1:6" x14ac:dyDescent="0.25">
      <c r="A19" s="18">
        <v>13</v>
      </c>
      <c r="B19" s="70">
        <f>22397.8522969888*$G$15</f>
        <v>23981.290862976723</v>
      </c>
      <c r="C19" s="70">
        <f>64829.4019257684*$G$15</f>
        <v>69412.58132431253</v>
      </c>
      <c r="D19" s="70">
        <f>1060.17686710292*G15</f>
        <v>1135.1271308996281</v>
      </c>
      <c r="E19" s="34">
        <f t="shared" si="0"/>
        <v>94528.999318188871</v>
      </c>
      <c r="F19" s="41"/>
    </row>
    <row r="20" spans="1:6" x14ac:dyDescent="0.25">
      <c r="A20" s="18">
        <v>12</v>
      </c>
      <c r="B20" s="70">
        <f>20597.2339629175*$G$15</f>
        <v>22053.376015159916</v>
      </c>
      <c r="C20" s="70">
        <f>60190.2837469577*$G$15</f>
        <v>64445.496046732624</v>
      </c>
      <c r="D20" s="70">
        <f>974.942264125513*$G$15</f>
        <v>1043.8667824301303</v>
      </c>
      <c r="E20" s="34">
        <f t="shared" si="0"/>
        <v>87542.738844322681</v>
      </c>
      <c r="F20" s="41"/>
    </row>
    <row r="21" spans="1:6" x14ac:dyDescent="0.25">
      <c r="A21" s="18">
        <v>11</v>
      </c>
      <c r="B21" s="70">
        <f>19024.7225876101*G15</f>
        <v>20369.694375663785</v>
      </c>
      <c r="C21" s="70">
        <f>55955.4348049386*$G$15</f>
        <v>59911.260223908546</v>
      </c>
      <c r="D21" s="70">
        <f>900.512700589746*$G$15</f>
        <v>964.17534647063883</v>
      </c>
      <c r="E21" s="34">
        <f t="shared" si="0"/>
        <v>81245.129946042973</v>
      </c>
      <c r="F21" s="41"/>
    </row>
    <row r="22" spans="1:6" x14ac:dyDescent="0.25">
      <c r="A22" s="18">
        <v>10</v>
      </c>
      <c r="B22" s="70">
        <f>17489.107946365*$G$15</f>
        <v>18725.517921741219</v>
      </c>
      <c r="C22" s="70">
        <f>51947.3774058249*$G$15</f>
        <v>55619.849198907097</v>
      </c>
      <c r="D22" s="70">
        <f>827.829874474444*$G$15</f>
        <v>886.35413528028937</v>
      </c>
      <c r="E22" s="34">
        <f t="shared" si="0"/>
        <v>75231.721255928598</v>
      </c>
      <c r="F22" s="41"/>
    </row>
    <row r="23" spans="1:6" x14ac:dyDescent="0.25">
      <c r="A23" s="18">
        <v>9</v>
      </c>
      <c r="B23" s="70">
        <f>16158.5732254219*G15</f>
        <v>17300.919718166329</v>
      </c>
      <c r="C23" s="70">
        <f>48307.3836540634*G15</f>
        <v>51722.522448871074</v>
      </c>
      <c r="D23" s="70">
        <f>764.854580218014*$G$15</f>
        <v>818.92673962110678</v>
      </c>
      <c r="E23" s="34">
        <f t="shared" si="0"/>
        <v>69842.368906658507</v>
      </c>
      <c r="F23" s="41"/>
    </row>
    <row r="24" spans="1:6" x14ac:dyDescent="0.25">
      <c r="A24" s="18">
        <v>8</v>
      </c>
      <c r="B24" s="70">
        <f>15012.574356917*G15</f>
        <v>16073.903313653607</v>
      </c>
      <c r="C24" s="70">
        <f>44974.1398276999*$G$15</f>
        <v>48153.631616958977</v>
      </c>
      <c r="D24" s="70">
        <f>710.643888770468*$G$15</f>
        <v>760.88356913098517</v>
      </c>
      <c r="E24" s="34">
        <f t="shared" si="0"/>
        <v>64988.418499743573</v>
      </c>
      <c r="F24" s="41"/>
    </row>
    <row r="25" spans="1:6" x14ac:dyDescent="0.25">
      <c r="A25" s="18">
        <v>7</v>
      </c>
      <c r="B25" s="70">
        <f>14020.6439120385*G15</f>
        <v>15011.847354043975</v>
      </c>
      <c r="C25" s="70">
        <f>41882.3733124329*$G$15</f>
        <v>44843.289576128664</v>
      </c>
      <c r="D25" s="70">
        <f>663.652014803961*$G$15</f>
        <v>710.56955764254189</v>
      </c>
      <c r="E25" s="34">
        <f t="shared" si="0"/>
        <v>60565.70648781518</v>
      </c>
      <c r="F25" s="41"/>
    </row>
    <row r="26" spans="1:6" x14ac:dyDescent="0.25">
      <c r="A26" s="18">
        <v>6</v>
      </c>
      <c r="B26" s="70">
        <f>12556.7697487154*G15</f>
        <v>13444.483142870586</v>
      </c>
      <c r="C26" s="70">
        <f>38778.5754947984*$G$15</f>
        <v>41520.065667978677</v>
      </c>
      <c r="D26" s="70">
        <f>594.36991640992*$G$15</f>
        <v>636.3894920204358</v>
      </c>
      <c r="E26" s="34">
        <f t="shared" si="0"/>
        <v>55600.938302869698</v>
      </c>
      <c r="F26" s="41"/>
    </row>
    <row r="27" spans="1:6" x14ac:dyDescent="0.25">
      <c r="A27" s="18">
        <v>5</v>
      </c>
      <c r="B27" s="70">
        <f>11441.1610197559*G15</f>
        <v>12250.005339208565</v>
      </c>
      <c r="C27" s="70">
        <f>36009.3165378162*$G$15</f>
        <v>38555.031179773658</v>
      </c>
      <c r="D27" s="70">
        <f>541.550431757435*$G$15</f>
        <v>579.83588108095876</v>
      </c>
      <c r="E27" s="34">
        <f>SUM(B27:D27)</f>
        <v>51384.872400063177</v>
      </c>
      <c r="F27" s="41"/>
    </row>
    <row r="28" spans="1:6" x14ac:dyDescent="0.25">
      <c r="A28" s="18">
        <v>4</v>
      </c>
      <c r="B28" s="70">
        <f>10741.9519659567*$G$15</f>
        <v>11501.365002141976</v>
      </c>
      <c r="C28" s="70">
        <f>33532.9009575551*$G$15</f>
        <v>35903.542923650421</v>
      </c>
      <c r="D28" s="70">
        <f>508.470625741539*$G$15</f>
        <v>544.41746509896291</v>
      </c>
      <c r="E28" s="34">
        <f t="shared" si="0"/>
        <v>47949.325390891361</v>
      </c>
      <c r="F28" s="41"/>
    </row>
    <row r="29" spans="1:6" x14ac:dyDescent="0.25">
      <c r="A29" s="18">
        <v>3</v>
      </c>
      <c r="B29" s="70">
        <f>10157.6800041924*$G$15</f>
        <v>10875.787349768787</v>
      </c>
      <c r="C29" s="70">
        <f>31170.5601839144*$G$15</f>
        <v>33374.194106676412</v>
      </c>
      <c r="D29" s="70">
        <f>480.801068373102*$G$15</f>
        <v>514.79178070280682</v>
      </c>
      <c r="E29" s="34">
        <f t="shared" si="0"/>
        <v>44764.773237148001</v>
      </c>
      <c r="F29" s="41"/>
    </row>
    <row r="30" spans="1:6" x14ac:dyDescent="0.25">
      <c r="A30" s="18">
        <v>2</v>
      </c>
      <c r="B30" s="70">
        <f>9004.75601741877*$G$15</f>
        <v>9641.3562488262069</v>
      </c>
      <c r="C30" s="70">
        <f>28925.1367191208*$G$15</f>
        <v>30970.028184615767</v>
      </c>
      <c r="D30" s="70">
        <f>426.234846300152*$G$15</f>
        <v>456.36794499418761</v>
      </c>
      <c r="E30" s="34">
        <f t="shared" si="0"/>
        <v>41067.752378436155</v>
      </c>
      <c r="F30" s="41"/>
    </row>
    <row r="31" spans="1:6" ht="15.75" thickBot="1" x14ac:dyDescent="0.3">
      <c r="A31" s="19">
        <v>1</v>
      </c>
      <c r="B31" s="71">
        <f>8481.21398473074*$G$15</f>
        <v>9080.8018885952661</v>
      </c>
      <c r="C31" s="71">
        <f>27524.0371376733*G15</f>
        <v>29469.876467158254</v>
      </c>
      <c r="D31" s="71">
        <f>401.455907494787*$G$15</f>
        <v>429.83723433103853</v>
      </c>
      <c r="E31" s="35">
        <f t="shared" si="0"/>
        <v>38980.515590084564</v>
      </c>
      <c r="F31" s="41"/>
    </row>
    <row r="32" spans="1:6" x14ac:dyDescent="0.25">
      <c r="A32" s="73"/>
      <c r="B32" s="37"/>
      <c r="C32" s="37"/>
      <c r="D32" s="37"/>
      <c r="E32" s="37"/>
      <c r="F32" s="37"/>
    </row>
    <row r="34" spans="1:6" ht="15.75" thickBot="1" x14ac:dyDescent="0.3">
      <c r="A34" s="1" t="s">
        <v>45</v>
      </c>
      <c r="B34" s="1"/>
      <c r="C34" s="1"/>
      <c r="D34" s="1"/>
      <c r="E34" s="1"/>
      <c r="F34" s="1"/>
    </row>
    <row r="35" spans="1:6" x14ac:dyDescent="0.25">
      <c r="A35" s="44" t="s">
        <v>59</v>
      </c>
      <c r="B35" s="51"/>
      <c r="C35" s="51"/>
      <c r="D35" s="51"/>
      <c r="E35" s="52">
        <v>103.28</v>
      </c>
    </row>
    <row r="36" spans="1:6" x14ac:dyDescent="0.25">
      <c r="A36" s="24" t="s">
        <v>67</v>
      </c>
      <c r="B36" s="50"/>
      <c r="C36" s="50"/>
      <c r="D36" s="50"/>
      <c r="E36" s="74">
        <v>2000</v>
      </c>
    </row>
    <row r="37" spans="1:6" ht="15.75" thickBot="1" x14ac:dyDescent="0.3">
      <c r="A37" s="47" t="s">
        <v>68</v>
      </c>
      <c r="B37" s="48"/>
      <c r="C37" s="48"/>
      <c r="D37" s="48"/>
      <c r="E37" s="75">
        <f>78*2*20</f>
        <v>3120</v>
      </c>
    </row>
    <row r="40" spans="1:6" x14ac:dyDescent="0.25">
      <c r="A40" s="1" t="s">
        <v>7</v>
      </c>
      <c r="B40" s="1"/>
      <c r="C40" s="1"/>
      <c r="D40" s="1"/>
      <c r="E40" s="1"/>
      <c r="F40" s="1"/>
    </row>
    <row r="42" spans="1:6" x14ac:dyDescent="0.25">
      <c r="A42" s="1" t="s">
        <v>14</v>
      </c>
      <c r="B42" s="1"/>
      <c r="C42" s="1"/>
      <c r="D42" s="1"/>
      <c r="E42" s="1"/>
      <c r="F42" s="1"/>
    </row>
    <row r="43" spans="1:6" x14ac:dyDescent="0.25">
      <c r="A43" t="s">
        <v>15</v>
      </c>
    </row>
    <row r="44" spans="1:6" ht="15.75" thickBot="1" x14ac:dyDescent="0.3">
      <c r="A44" t="s">
        <v>8</v>
      </c>
    </row>
    <row r="45" spans="1:6" ht="15.75" thickBot="1" x14ac:dyDescent="0.3">
      <c r="A45" s="42" t="s">
        <v>9</v>
      </c>
      <c r="B45" s="25"/>
      <c r="C45" s="43"/>
      <c r="D45" s="38" t="s">
        <v>43</v>
      </c>
      <c r="E45" s="72"/>
      <c r="F45" s="72"/>
    </row>
    <row r="46" spans="1:6" x14ac:dyDescent="0.25">
      <c r="A46" s="29" t="s">
        <v>12</v>
      </c>
      <c r="B46" s="66"/>
      <c r="C46" s="66"/>
      <c r="D46" s="36">
        <f>10970.5775923999*$G$15</f>
        <v>11746.153545872205</v>
      </c>
      <c r="F46" s="37"/>
    </row>
    <row r="47" spans="1:6" x14ac:dyDescent="0.25">
      <c r="A47" s="30" t="s">
        <v>10</v>
      </c>
      <c r="B47" s="46"/>
      <c r="C47" s="46"/>
      <c r="D47" s="34">
        <f>14030.55239599*$G$15</f>
        <v>15022.45632817691</v>
      </c>
      <c r="F47" s="31"/>
    </row>
    <row r="48" spans="1:6" x14ac:dyDescent="0.25">
      <c r="A48" s="30" t="s">
        <v>11</v>
      </c>
      <c r="B48" s="46"/>
      <c r="C48" s="46"/>
      <c r="D48" s="34">
        <f>11763.9055383568*$G$15</f>
        <v>12595.566604296473</v>
      </c>
      <c r="F48" s="31"/>
    </row>
    <row r="49" spans="1:6" ht="15.75" thickBot="1" x14ac:dyDescent="0.3">
      <c r="A49" s="67" t="s">
        <v>13</v>
      </c>
      <c r="B49" s="68"/>
      <c r="C49" s="68"/>
      <c r="D49" s="35">
        <f>8348.06003659012*$G$15</f>
        <v>8938.2344889368942</v>
      </c>
      <c r="F49" s="31"/>
    </row>
    <row r="50" spans="1:6" x14ac:dyDescent="0.25">
      <c r="A50" s="23"/>
      <c r="B50" s="23"/>
      <c r="C50" s="23"/>
      <c r="D50" s="37"/>
      <c r="F50" s="31"/>
    </row>
    <row r="52" spans="1:6" x14ac:dyDescent="0.25">
      <c r="A52" s="1" t="s">
        <v>16</v>
      </c>
      <c r="B52" s="1"/>
      <c r="C52" s="1"/>
      <c r="D52" s="1"/>
      <c r="E52" s="1"/>
      <c r="F52" s="1"/>
    </row>
    <row r="53" spans="1:6" x14ac:dyDescent="0.25">
      <c r="A53" t="s">
        <v>58</v>
      </c>
    </row>
    <row r="54" spans="1:6" x14ac:dyDescent="0.25">
      <c r="A54" t="s">
        <v>49</v>
      </c>
    </row>
    <row r="55" spans="1:6" ht="15.75" thickBot="1" x14ac:dyDescent="0.3">
      <c r="A55" t="s">
        <v>51</v>
      </c>
    </row>
    <row r="56" spans="1:6" ht="15.75" thickBot="1" x14ac:dyDescent="0.3">
      <c r="A56" s="3" t="s">
        <v>17</v>
      </c>
      <c r="B56" s="8"/>
      <c r="C56" s="8"/>
      <c r="D56" s="8"/>
      <c r="E56" s="8"/>
      <c r="F56" s="4"/>
    </row>
    <row r="59" spans="1:6" x14ac:dyDescent="0.25">
      <c r="A59" s="1" t="s">
        <v>65</v>
      </c>
      <c r="B59" s="1"/>
      <c r="C59" s="1"/>
      <c r="D59" s="1"/>
      <c r="E59" s="1"/>
      <c r="F59" s="1"/>
    </row>
    <row r="60" spans="1:6" x14ac:dyDescent="0.25">
      <c r="A60" s="1" t="s">
        <v>64</v>
      </c>
      <c r="B60" s="1"/>
      <c r="C60" s="1"/>
      <c r="D60" s="1"/>
      <c r="E60" s="1"/>
      <c r="F60" s="1"/>
    </row>
    <row r="61" spans="1:6" x14ac:dyDescent="0.25">
      <c r="A61" t="s">
        <v>18</v>
      </c>
    </row>
    <row r="62" spans="1:6" x14ac:dyDescent="0.25">
      <c r="A62" t="s">
        <v>19</v>
      </c>
    </row>
    <row r="63" spans="1:6" x14ac:dyDescent="0.25">
      <c r="A63" t="s">
        <v>40</v>
      </c>
    </row>
    <row r="64" spans="1:6" ht="15.75" thickBot="1" x14ac:dyDescent="0.3">
      <c r="A64" s="1" t="s">
        <v>41</v>
      </c>
    </row>
    <row r="65" spans="1:6" ht="15.75" thickBot="1" x14ac:dyDescent="0.3">
      <c r="A65" s="56" t="s">
        <v>20</v>
      </c>
      <c r="B65" s="57"/>
      <c r="C65" s="49"/>
      <c r="D65" s="38" t="s">
        <v>22</v>
      </c>
      <c r="E65" s="38" t="s">
        <v>28</v>
      </c>
      <c r="F65" s="49" t="s">
        <v>21</v>
      </c>
    </row>
    <row r="66" spans="1:6" x14ac:dyDescent="0.25">
      <c r="A66" s="58" t="s">
        <v>6</v>
      </c>
      <c r="B66" s="59"/>
      <c r="C66" s="60"/>
      <c r="D66" s="61" t="s">
        <v>23</v>
      </c>
      <c r="E66" s="62" t="s">
        <v>25</v>
      </c>
      <c r="F66" s="63" t="s">
        <v>24</v>
      </c>
    </row>
    <row r="67" spans="1:6" x14ac:dyDescent="0.25">
      <c r="A67" s="20" t="s">
        <v>27</v>
      </c>
      <c r="B67" s="53"/>
      <c r="C67" s="15"/>
      <c r="D67" s="54"/>
      <c r="E67" s="5" t="s">
        <v>26</v>
      </c>
      <c r="F67" s="39" t="s">
        <v>24</v>
      </c>
    </row>
    <row r="68" spans="1:6" ht="30" x14ac:dyDescent="0.25">
      <c r="A68" s="20" t="s">
        <v>31</v>
      </c>
      <c r="B68" s="53"/>
      <c r="C68" s="15"/>
      <c r="D68" s="54" t="s">
        <v>23</v>
      </c>
      <c r="E68" s="5" t="s">
        <v>29</v>
      </c>
      <c r="F68" s="39" t="s">
        <v>30</v>
      </c>
    </row>
    <row r="69" spans="1:6" ht="30" x14ac:dyDescent="0.25">
      <c r="A69" s="20" t="s">
        <v>34</v>
      </c>
      <c r="B69" s="53"/>
      <c r="C69" s="15"/>
      <c r="D69" s="54" t="s">
        <v>32</v>
      </c>
      <c r="E69" s="5" t="s">
        <v>29</v>
      </c>
      <c r="F69" s="39" t="s">
        <v>33</v>
      </c>
    </row>
    <row r="70" spans="1:6" ht="45.75" thickBot="1" x14ac:dyDescent="0.3">
      <c r="A70" s="64" t="s">
        <v>37</v>
      </c>
      <c r="B70" s="65"/>
      <c r="C70" s="21"/>
      <c r="D70" s="55" t="s">
        <v>35</v>
      </c>
      <c r="E70" s="22" t="s">
        <v>29</v>
      </c>
      <c r="F70" s="40" t="s">
        <v>36</v>
      </c>
    </row>
    <row r="71" spans="1:6" ht="15.75" thickBot="1" x14ac:dyDescent="0.3">
      <c r="A71" s="1" t="s">
        <v>42</v>
      </c>
      <c r="B71" s="1"/>
      <c r="C71" s="1"/>
      <c r="D71" s="1"/>
      <c r="E71" s="1"/>
      <c r="F71" s="1"/>
    </row>
    <row r="72" spans="1:6" x14ac:dyDescent="0.25">
      <c r="A72" s="6" t="s">
        <v>38</v>
      </c>
      <c r="B72" s="9"/>
      <c r="C72" s="9"/>
      <c r="D72" s="9"/>
      <c r="E72" s="9"/>
      <c r="F72" s="10"/>
    </row>
    <row r="73" spans="1:6" ht="15.75" thickBot="1" x14ac:dyDescent="0.3">
      <c r="A73" s="7" t="s">
        <v>46</v>
      </c>
      <c r="B73" s="11"/>
      <c r="C73" s="11"/>
      <c r="D73" s="32">
        <f>12271.1549936894*$G$15</f>
        <v>13138.676567123268</v>
      </c>
      <c r="E73" s="11" t="s">
        <v>39</v>
      </c>
      <c r="F73" s="12"/>
    </row>
    <row r="74" spans="1:6" x14ac:dyDescent="0.25">
      <c r="A74" s="23"/>
      <c r="B74" s="23"/>
      <c r="C74" s="23"/>
      <c r="D74" s="37"/>
      <c r="E74" s="23"/>
      <c r="F74" s="23"/>
    </row>
    <row r="76" spans="1:6" x14ac:dyDescent="0.25">
      <c r="A76" s="1" t="s">
        <v>60</v>
      </c>
    </row>
    <row r="77" spans="1:6" x14ac:dyDescent="0.25">
      <c r="A77" t="s">
        <v>57</v>
      </c>
    </row>
    <row r="78" spans="1:6" x14ac:dyDescent="0.25">
      <c r="A78" t="s">
        <v>63</v>
      </c>
    </row>
    <row r="79" spans="1:6" x14ac:dyDescent="0.25">
      <c r="A79" t="s">
        <v>62</v>
      </c>
    </row>
    <row r="81" spans="1:6" ht="15.75" thickBot="1" x14ac:dyDescent="0.3"/>
    <row r="82" spans="1:6" ht="15.75" thickBot="1" x14ac:dyDescent="0.3">
      <c r="A82" s="69" t="s">
        <v>1</v>
      </c>
      <c r="B82" s="45" t="s">
        <v>50</v>
      </c>
      <c r="C82" s="72"/>
      <c r="D82" s="72"/>
      <c r="E82" s="72"/>
      <c r="F82" s="72"/>
    </row>
    <row r="83" spans="1:6" x14ac:dyDescent="0.25">
      <c r="A83" s="17">
        <v>15</v>
      </c>
      <c r="B83" s="36">
        <f>80303.7666585994*$G$15</f>
        <v>85980.921746295746</v>
      </c>
      <c r="D83" s="41"/>
      <c r="F83" s="33"/>
    </row>
    <row r="84" spans="1:6" x14ac:dyDescent="0.25">
      <c r="A84" s="18">
        <v>14</v>
      </c>
      <c r="B84" s="34">
        <f>76390.1795395356*G15</f>
        <v>81790.659672262613</v>
      </c>
      <c r="D84" s="41"/>
      <c r="F84" s="33"/>
    </row>
    <row r="85" spans="1:6" x14ac:dyDescent="0.25">
      <c r="A85" s="18">
        <v>12</v>
      </c>
      <c r="B85" s="34">
        <f>65927.9471200316*$G$15</f>
        <v>70588.789269629371</v>
      </c>
      <c r="D85" s="41"/>
      <c r="F85" s="33"/>
    </row>
    <row r="86" spans="1:6" x14ac:dyDescent="0.25">
      <c r="A86" s="18">
        <v>11</v>
      </c>
      <c r="B86" s="34">
        <f>61387.8306174853*G15</f>
        <v>65727.704690819039</v>
      </c>
      <c r="D86" s="41"/>
      <c r="F86" s="33"/>
    </row>
    <row r="87" spans="1:6" x14ac:dyDescent="0.25">
      <c r="A87" s="18">
        <v>10</v>
      </c>
      <c r="B87" s="34">
        <f>57474.2434984216*$G$15</f>
        <v>61537.442616786022</v>
      </c>
      <c r="D87" s="41"/>
      <c r="F87" s="33"/>
    </row>
    <row r="88" spans="1:6" ht="15.75" thickBot="1" x14ac:dyDescent="0.3">
      <c r="A88" s="19">
        <v>9</v>
      </c>
      <c r="B88" s="35">
        <f>53774.9605884681*$G$15</f>
        <v>57576.635202230449</v>
      </c>
      <c r="D88" s="41"/>
      <c r="F88" s="33"/>
    </row>
    <row r="89" spans="1:6" x14ac:dyDescent="0.25">
      <c r="D89" s="41"/>
    </row>
    <row r="91" spans="1:6" x14ac:dyDescent="0.25">
      <c r="A91" s="1" t="s">
        <v>61</v>
      </c>
    </row>
    <row r="92" spans="1:6" x14ac:dyDescent="0.25">
      <c r="A92" s="16" t="s">
        <v>70</v>
      </c>
    </row>
    <row r="93" spans="1:6" x14ac:dyDescent="0.25">
      <c r="A93" t="s">
        <v>71</v>
      </c>
    </row>
    <row r="94" spans="1:6" x14ac:dyDescent="0.25">
      <c r="A94" t="s">
        <v>69</v>
      </c>
    </row>
  </sheetData>
  <mergeCells count="2">
    <mergeCell ref="A11:F11"/>
    <mergeCell ref="A12:F12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mbouzon</dc:creator>
  <cp:lastModifiedBy>Monica Bouzon</cp:lastModifiedBy>
  <cp:lastPrinted>2022-02-16T16:56:35Z</cp:lastPrinted>
  <dcterms:created xsi:type="dcterms:W3CDTF">2013-12-02T12:16:35Z</dcterms:created>
  <dcterms:modified xsi:type="dcterms:W3CDTF">2022-02-16T17:51:50Z</dcterms:modified>
</cp:coreProperties>
</file>